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<sst xmlns="http://schemas.openxmlformats.org/spreadsheetml/2006/main" count="130" uniqueCount="123">
  <si>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</si>
  <si>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</si>
  <si>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</si>
  <si>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</si>
  <si>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</si>
  <si>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</si>
  <si>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</si>
  <si>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</si>
  <si>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</si>
  <si>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</si>
  <si>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</si>
  <si>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</si>
  <si>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</si>
  <si>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</si>
  <si>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</si>
  <si>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</si>
  <si>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</si>
  <si>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</si>
  <si>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</si>
  <si>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</si>
  <si>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</si>
  <si>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</si>
  <si>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</si>
  <si>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</si>
  <si>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</si>
  <si>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</si>
  <si>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</si>
  <si>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</si>
  <si>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</si>
  <si>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</si>
  <si>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</si>
  <si>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</si>
  <si>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</si>
  <si>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</si>
  <si>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</si>
  <si>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</si>
  <si>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</si>
  <si>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</si>
  <si>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</si>
  <si>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</si>
  <si>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</si>
  <si>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</si>
  <si>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</si>
  <si>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</si>
  <si>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</si>
  <si>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</si>
  <si>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</si>
  <si>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</si>
  <si>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</si>
  <si>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</si>
  <si>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</si>
  <si>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</si>
  <si>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</si>
  <si>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</si>
  <si>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</si>
  <si>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</si>
  <si>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</si>
  <si>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</si>
  <si>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</si>
  <si>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</si>
  <si>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</si>
  <si>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</si>
  <si>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</si>
  <si>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</si>
  <si>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</si>
  <si>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</si>
  <si>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</si>
  <si>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</si>
  <si>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</si>
  <si>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</si>
  <si>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</si>
  <si>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</si>
  <si>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</si>
  <si>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</si>
  <si>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</si>
  <si>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</si>
  <si>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</si>
  <si>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</si>
  <si>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</si>
  <si>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</si>
  <si>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</si>
  <si>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</si>
  <si>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</si>
  <si>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</si>
  <si>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</si>
  <si>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</si>
  <si>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</si>
  <si>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</si>
  <si>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</si>
  <si>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</si>
  <si>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</si>
  <si>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</si>
  <si>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</si>
  <si>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</si>
  <si>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</si>
  <si>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</si>
  <si>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</si>
  <si>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</si>
  <si>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</si>
  <si>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</si>
  <si>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</si>
  <si>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</si>
  <si>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</si>
  <si>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</si>
  <si>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</si>
  <si>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</si>
  <si>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</si>
  <si>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</si>
  <si>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</si>
  <si>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</si>
  <si>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</si>
  <si>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</si>
  <si>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</si>
  <si>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</si>
  <si>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</si>
  <si>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</si>
  <si>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</si>
  <si>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</si>
  <si>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</si>
  <si>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</si>
  <si>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</si>
  <si>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</si>
  <si>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>Касові видатки станом на 06.09.19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</si>
</sst>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Q18" sqref="AQ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9" width="9.33203125" style="2" hidden="1" customWidth="1"/>
    <col min="30" max="31" width="9.33203125" style="2" customWidth="1"/>
    <col min="32" max="16384" width="9.33203125" style="2" customWidth="1"/>
  </cols>
  <sheetData>
    <row r="1" spans="4:7" ht="74.25" customHeight="1" hidden="1">
      <c r="D1" s="118" t="s">
        <v>13</v>
      </c>
      <c r="E1" s="11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1" t="s">
        <v>14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20.25" customHeight="1">
      <c r="A4" s="122" t="s">
        <v>40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0" t="s">
        <v>3</v>
      </c>
      <c r="B7" s="13"/>
      <c r="C7" s="120" t="s">
        <v>0</v>
      </c>
      <c r="D7" s="106" t="s">
        <v>1</v>
      </c>
      <c r="E7" s="106" t="s">
        <v>16</v>
      </c>
      <c r="F7" s="106" t="s">
        <v>37</v>
      </c>
      <c r="G7" s="14" t="s">
        <v>38</v>
      </c>
      <c r="H7" s="116" t="s">
        <v>122</v>
      </c>
      <c r="I7" s="14" t="s">
        <v>38</v>
      </c>
      <c r="J7" s="109" t="s">
        <v>2</v>
      </c>
      <c r="K7" s="107" t="s">
        <v>112</v>
      </c>
    </row>
    <row r="8" spans="1:26" ht="39.75" customHeight="1">
      <c r="A8" s="120"/>
      <c r="B8" s="1" t="s">
        <v>17</v>
      </c>
      <c r="C8" s="120"/>
      <c r="D8" s="106"/>
      <c r="E8" s="106"/>
      <c r="F8" s="106"/>
      <c r="G8" s="49" t="s">
        <v>39</v>
      </c>
      <c r="H8" s="117"/>
      <c r="I8" s="49" t="s">
        <v>109</v>
      </c>
      <c r="J8" s="110"/>
      <c r="K8" s="108"/>
      <c r="M8" s="114" t="s">
        <v>113</v>
      </c>
      <c r="N8" s="109" t="s">
        <v>22</v>
      </c>
      <c r="O8" s="107" t="s">
        <v>23</v>
      </c>
      <c r="P8" s="109" t="s">
        <v>24</v>
      </c>
      <c r="Q8" s="109" t="s">
        <v>25</v>
      </c>
      <c r="R8" s="109" t="s">
        <v>26</v>
      </c>
      <c r="S8" s="109" t="s">
        <v>27</v>
      </c>
      <c r="T8" s="109" t="s">
        <v>28</v>
      </c>
      <c r="U8" s="109" t="s">
        <v>29</v>
      </c>
      <c r="V8" s="109" t="s">
        <v>30</v>
      </c>
      <c r="W8" s="109" t="s">
        <v>31</v>
      </c>
      <c r="X8" s="109" t="s">
        <v>32</v>
      </c>
      <c r="Y8" s="109" t="s">
        <v>33</v>
      </c>
      <c r="Z8" s="109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5"/>
      <c r="N9" s="110"/>
      <c r="O9" s="108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s="15" customFormat="1" ht="19.5" customHeight="1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147687592.36</v>
      </c>
      <c r="I11" s="8"/>
      <c r="J11" s="38">
        <f aca="true" t="shared" si="0" ref="J11:J19">H11/D11*100</f>
        <v>75.86585271644213</v>
      </c>
      <c r="K11" s="38">
        <f>(H11/(N11+O11+P11+Q11+R11+O28+P28+Q28+R28+S11+S28+T11+T28+U11+U28+V11+V28))*100</f>
        <v>91.3402171650519</v>
      </c>
      <c r="L11" s="73"/>
      <c r="M11" s="46">
        <f>N11+O11+P11+Q11+R11+S11+T11+U11+V11-H12</f>
        <v>8924080.129999995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130095019.47</v>
      </c>
      <c r="I12" s="37"/>
      <c r="J12" s="51">
        <f t="shared" si="0"/>
        <v>85.90890449653028</v>
      </c>
      <c r="K12" s="66">
        <f>(H12/(N11+O11+P11+Q11+R11+S11+T11+U11+V11))*100</f>
        <v>93.58068052830347</v>
      </c>
      <c r="L12" s="73"/>
      <c r="M12" s="42">
        <f>(N12+O12+P12+Q12+R12+S12+T12+U12+V12)-(H13+H16+H17+H18+H19)</f>
        <v>1655072.2100000083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1">
        <f>((H13+H16+H17+H18+H19)/(N12+O12+P12+Q12+R12+S12+T12+U12+V12))*100</f>
        <v>97.60320300926092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2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2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</f>
        <v>5642220.869999999</v>
      </c>
      <c r="I16" s="17"/>
      <c r="J16" s="17">
        <f t="shared" si="0"/>
        <v>89.55906142857143</v>
      </c>
      <c r="K16" s="112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2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2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3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62696591.68</v>
      </c>
      <c r="I20" s="33"/>
      <c r="J20" s="33">
        <f>H20/D20*100</f>
        <v>77.28852195897105</v>
      </c>
      <c r="K20" s="111">
        <f>(H20/(N20+O20+P20+Q20+R20+S20+T20+U20+V20))*100</f>
        <v>89.61059726271536</v>
      </c>
      <c r="L20" s="73"/>
      <c r="M20" s="42">
        <f>(N20+O20+P20+Q20+R20+S20+T20+U20+V20)-(H20)</f>
        <v>7269007.920000009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</f>
        <v>22813426.709999997</v>
      </c>
      <c r="I21" s="21"/>
      <c r="J21" s="21">
        <f aca="true" t="shared" si="5" ref="J21:J27">H21/D21*100</f>
        <v>69.62066913964374</v>
      </c>
      <c r="K21" s="112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</f>
        <v>770527.66</v>
      </c>
      <c r="I22" s="21"/>
      <c r="J22" s="21">
        <f t="shared" si="5"/>
        <v>51.36840792985081</v>
      </c>
      <c r="K22" s="112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2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</f>
        <v>1685163.8699999999</v>
      </c>
      <c r="I24" s="21"/>
      <c r="J24" s="21">
        <f t="shared" si="5"/>
        <v>93.620215</v>
      </c>
      <c r="K24" s="112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12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12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</f>
        <v>32063855.450000003</v>
      </c>
      <c r="I27" s="21"/>
      <c r="J27" s="21">
        <f t="shared" si="5"/>
        <v>87.76322183894443</v>
      </c>
      <c r="K27" s="113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SUM(H30:H84)</f>
        <v>17592572.89</v>
      </c>
      <c r="I28" s="51"/>
      <c r="J28" s="51">
        <f>H28/D28*100</f>
        <v>40.689917988560545</v>
      </c>
      <c r="K28" s="99">
        <f>(H28/(N28+O28+P28+Q28+R28+S28+T28+U28+V28))*100</f>
        <v>77.60131476836446</v>
      </c>
      <c r="L28" s="73"/>
      <c r="M28" s="47">
        <f>(N28+O28+P28+Q28+R28+S28+T28+U28+V28)-H28</f>
        <v>5077884.359999999</v>
      </c>
      <c r="N28" s="82">
        <f>SUM(N30:N84)</f>
        <v>0</v>
      </c>
      <c r="O28" s="82">
        <f aca="true" t="shared" si="6" ref="O28:Y28">SUM(O30:O84)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2074194.3900000001</v>
      </c>
      <c r="V28" s="82">
        <f t="shared" si="6"/>
        <v>4260943.6</v>
      </c>
      <c r="W28" s="82">
        <f t="shared" si="6"/>
        <v>7928506.13</v>
      </c>
      <c r="X28" s="82">
        <f t="shared" si="6"/>
        <v>2616661.3200000003</v>
      </c>
      <c r="Y28" s="82">
        <f t="shared" si="6"/>
        <v>1737822.2599999998</v>
      </c>
      <c r="Z28" s="42">
        <f>SUM(N28:Y28)</f>
        <v>34953446.96</v>
      </c>
      <c r="AA28" s="45">
        <f aca="true" t="shared" si="7" ref="AA28:AA97">Z28-D28</f>
        <v>-8282257.999999993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 t="e">
        <f>(H29/(N29+O29+P29+Q29+R29+S29+T29+U29+V29))*100</f>
        <v>#DIV/0!</v>
      </c>
      <c r="M29" s="42">
        <f>(N29+O29+P29+Q29+R29+S29+T29+U29+V29)-H29</f>
        <v>0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5">
        <f t="shared" si="7"/>
        <v>-3655000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15.333333333333332</v>
      </c>
      <c r="L31" s="73"/>
      <c r="M31" s="42">
        <f t="shared" si="9"/>
        <v>254000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83"/>
      <c r="W31" s="83"/>
      <c r="X31" s="83"/>
      <c r="Y31" s="83"/>
      <c r="Z31" s="42">
        <f aca="true" t="shared" si="12" ref="Z31:Z98">SUM(N31:Y31)</f>
        <v>300000</v>
      </c>
      <c r="AA31" s="45">
        <f t="shared" si="7"/>
        <v>-420000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342035.55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83">
        <f>342035.55</f>
        <v>342035.55</v>
      </c>
      <c r="W33" s="83">
        <v>107964.45</v>
      </c>
      <c r="X33" s="83"/>
      <c r="Y33" s="83"/>
      <c r="Z33" s="42">
        <f t="shared" si="12"/>
        <v>450000</v>
      </c>
      <c r="AA33" s="45">
        <f t="shared" si="7"/>
        <v>-704000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</f>
        <v>649000</v>
      </c>
      <c r="I42" s="53"/>
      <c r="J42" s="17">
        <f t="shared" si="13"/>
        <v>46.35714285714286</v>
      </c>
      <c r="K42" s="48">
        <f t="shared" si="11"/>
        <v>100</v>
      </c>
      <c r="L42" s="73"/>
      <c r="M42" s="42">
        <f t="shared" si="9"/>
        <v>0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19.33333018970241</v>
      </c>
      <c r="L43" s="73"/>
      <c r="M43" s="42">
        <f t="shared" si="9"/>
        <v>171069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83">
        <f>171069</f>
        <v>171069</v>
      </c>
      <c r="W43" s="83">
        <f>105000+82931</f>
        <v>187931</v>
      </c>
      <c r="X43" s="83"/>
      <c r="Y43" s="83"/>
      <c r="Z43" s="42">
        <f t="shared" si="12"/>
        <v>400000</v>
      </c>
      <c r="AA43" s="45">
        <f t="shared" si="7"/>
        <v>359000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83"/>
      <c r="W44" s="83">
        <v>1000000</v>
      </c>
      <c r="X44" s="83"/>
      <c r="Y44" s="83">
        <v>430000</v>
      </c>
      <c r="Z44" s="42">
        <f t="shared" si="12"/>
        <v>1490000</v>
      </c>
      <c r="AA44" s="45">
        <f t="shared" si="7"/>
        <v>1400000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83.1936569170311</v>
      </c>
      <c r="L46" s="73"/>
      <c r="M46" s="42">
        <f t="shared" si="9"/>
        <v>60643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83"/>
      <c r="W46" s="83"/>
      <c r="X46" s="83"/>
      <c r="Y46" s="83"/>
      <c r="Z46" s="42">
        <f t="shared" si="12"/>
        <v>360834</v>
      </c>
      <c r="AA46" s="45">
        <f t="shared" si="7"/>
        <v>60640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42"/>
      <c r="AA47" s="45">
        <f t="shared" si="7"/>
        <v>-1490000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100</v>
      </c>
      <c r="L48" s="73"/>
      <c r="M48" s="42">
        <f t="shared" si="9"/>
        <v>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/>
      <c r="W48" s="83">
        <f>147800</f>
        <v>147800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88.86075949367088</v>
      </c>
      <c r="L52" s="73"/>
      <c r="M52" s="42">
        <f t="shared" si="9"/>
        <v>44000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</f>
        <v>44000</v>
      </c>
      <c r="W52" s="83">
        <v>155000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81" t="s">
        <v>115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5">
        <f t="shared" si="7"/>
        <v>-1490000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78.65470852017937</v>
      </c>
      <c r="L56" s="73"/>
      <c r="M56" s="42">
        <f t="shared" si="9"/>
        <v>238000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83">
        <f>31000+207000</f>
        <v>238000</v>
      </c>
      <c r="W56" s="83">
        <v>335000</v>
      </c>
      <c r="X56" s="83"/>
      <c r="Y56" s="83"/>
      <c r="Z56" s="42">
        <f t="shared" si="12"/>
        <v>1450000</v>
      </c>
      <c r="AA56" s="45">
        <f t="shared" si="7"/>
        <v>157000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83"/>
      <c r="W57" s="83">
        <f>760000+1209304.55</f>
        <v>1969304.55</v>
      </c>
      <c r="X57" s="83">
        <f>304635.45</f>
        <v>304635.45</v>
      </c>
      <c r="Y57" s="83"/>
      <c r="Z57" s="42">
        <f t="shared" si="12"/>
        <v>2500000</v>
      </c>
      <c r="AA57" s="45">
        <f t="shared" si="7"/>
        <v>-1800000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42.537824358414554</v>
      </c>
      <c r="L61" s="73"/>
      <c r="M61" s="42">
        <f t="shared" si="9"/>
        <v>898912.0499999998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</f>
        <v>898912.0499999999</v>
      </c>
      <c r="W61" s="83"/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99.04352307692308</v>
      </c>
      <c r="L62" s="73"/>
      <c r="M62" s="42">
        <f t="shared" si="9"/>
        <v>3730.2600000000093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83"/>
      <c r="W62" s="83">
        <f>160000-160000</f>
        <v>0</v>
      </c>
      <c r="X62" s="83"/>
      <c r="Y62" s="83"/>
      <c r="Z62" s="42">
        <f t="shared" si="12"/>
        <v>390000</v>
      </c>
      <c r="AA62" s="45">
        <f t="shared" si="7"/>
        <v>-174477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99.992695</v>
      </c>
      <c r="L63" s="73"/>
      <c r="M63" s="42">
        <f t="shared" si="9"/>
        <v>73.05000000004657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85"/>
      <c r="W63" s="85">
        <f>200000-200000</f>
        <v>0</v>
      </c>
      <c r="X63" s="85"/>
      <c r="Y63" s="85"/>
      <c r="Z63" s="42">
        <f t="shared" si="12"/>
        <v>1000000</v>
      </c>
      <c r="AA63" s="45">
        <f t="shared" si="7"/>
        <v>-469421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88.10799670239076</v>
      </c>
      <c r="L65" s="73"/>
      <c r="M65" s="42">
        <f t="shared" si="9"/>
        <v>46160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/>
      <c r="W65" s="85">
        <f>32000</f>
        <v>32000</v>
      </c>
      <c r="X65" s="85">
        <v>211840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99.88701866880407</v>
      </c>
      <c r="L68" s="73"/>
      <c r="M68" s="42">
        <f t="shared" si="9"/>
        <v>33.82999999999811</v>
      </c>
      <c r="N68" s="85"/>
      <c r="O68" s="85"/>
      <c r="P68" s="85"/>
      <c r="Q68" s="85">
        <v>29943</v>
      </c>
      <c r="R68" s="85"/>
      <c r="S68" s="85"/>
      <c r="T68" s="85"/>
      <c r="U68" s="85"/>
      <c r="V68" s="85"/>
      <c r="W68" s="85"/>
      <c r="X68" s="85"/>
      <c r="Y68" s="85"/>
      <c r="Z68" s="42">
        <f t="shared" si="12"/>
        <v>29943</v>
      </c>
      <c r="AA68" s="45">
        <f t="shared" si="7"/>
        <v>-56000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10.187272727272727</v>
      </c>
      <c r="L70" s="73"/>
      <c r="M70" s="42">
        <f t="shared" si="9"/>
        <v>987940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</f>
        <v>987940</v>
      </c>
      <c r="W70" s="85">
        <v>300000</v>
      </c>
      <c r="X70" s="85"/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3" t="s">
        <v>36</v>
      </c>
      <c r="B85" s="104"/>
      <c r="C85" s="104"/>
      <c r="D85" s="104"/>
      <c r="E85" s="104"/>
      <c r="F85" s="104"/>
      <c r="G85" s="105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62315606.67</v>
      </c>
      <c r="I86" s="8"/>
      <c r="J86" s="8">
        <f aca="true" t="shared" si="16" ref="J86:J120">H86/D86*100</f>
        <v>28.063235425862082</v>
      </c>
      <c r="K86" s="102">
        <f t="shared" si="11"/>
        <v>54.693630882313784</v>
      </c>
      <c r="L86" s="73"/>
      <c r="M86" s="47">
        <f t="shared" si="9"/>
        <v>51620158.17999999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 t="shared" si="17"/>
        <v>22151600</v>
      </c>
      <c r="W86" s="47">
        <f t="shared" si="17"/>
        <v>36307000.42</v>
      </c>
      <c r="X86" s="47">
        <f t="shared" si="17"/>
        <v>45502500</v>
      </c>
      <c r="Y86" s="47">
        <f t="shared" si="17"/>
        <v>22790624.73</v>
      </c>
      <c r="Z86" s="42">
        <f t="shared" si="12"/>
        <v>218535889.99999997</v>
      </c>
      <c r="AA86" s="45">
        <f t="shared" si="7"/>
        <v>-3518359.00000003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14.743636363636364</v>
      </c>
      <c r="L87" s="73"/>
      <c r="M87" s="42">
        <f t="shared" si="9"/>
        <v>468910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86"/>
      <c r="W87" s="86"/>
      <c r="X87" s="86">
        <v>450000</v>
      </c>
      <c r="Y87" s="86"/>
      <c r="Z87" s="42">
        <f t="shared" si="12"/>
        <v>1000000</v>
      </c>
      <c r="AA87" s="45">
        <f t="shared" si="7"/>
        <v>-520000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5.584333333333333</v>
      </c>
      <c r="L88" s="73"/>
      <c r="M88" s="42">
        <f t="shared" si="9"/>
        <v>1416235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86"/>
      <c r="W88" s="86"/>
      <c r="X88" s="86">
        <v>500000</v>
      </c>
      <c r="Y88" s="86"/>
      <c r="Z88" s="42">
        <f t="shared" si="12"/>
        <v>2000000</v>
      </c>
      <c r="AA88" s="45">
        <f t="shared" si="7"/>
        <v>370000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6.870649999999999</v>
      </c>
      <c r="L89" s="73"/>
      <c r="M89" s="42">
        <f t="shared" si="9"/>
        <v>1490069.6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v>300000</v>
      </c>
      <c r="W89" s="86"/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</f>
        <v>605518.54</v>
      </c>
      <c r="I91" s="54"/>
      <c r="J91" s="17">
        <f t="shared" si="16"/>
        <v>35.55181658055425</v>
      </c>
      <c r="K91" s="48">
        <f t="shared" si="11"/>
        <v>50.45987833333334</v>
      </c>
      <c r="L91" s="73"/>
      <c r="M91" s="42">
        <f t="shared" si="9"/>
        <v>594481.46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</f>
        <v>410523</v>
      </c>
      <c r="I92" s="54"/>
      <c r="J92" s="17">
        <f t="shared" si="16"/>
        <v>4.561366666666666</v>
      </c>
      <c r="K92" s="48">
        <f t="shared" si="11"/>
        <v>18.245466666666665</v>
      </c>
      <c r="L92" s="73"/>
      <c r="M92" s="42">
        <f t="shared" si="9"/>
        <v>1839477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87"/>
      <c r="W92" s="87">
        <f>1000000-250000</f>
        <v>750000</v>
      </c>
      <c r="X92" s="87">
        <f>1000000</f>
        <v>1000000</v>
      </c>
      <c r="Y92" s="87">
        <f>2000000-2000000</f>
        <v>0</v>
      </c>
      <c r="Z92" s="42">
        <f>SUM(N92:Y92)</f>
        <v>4000000</v>
      </c>
      <c r="AA92" s="45">
        <f t="shared" si="7"/>
        <v>-5000000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3.854363636363636</v>
      </c>
      <c r="L93" s="73"/>
      <c r="M93" s="42">
        <f t="shared" si="9"/>
        <v>528801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/>
      <c r="W93" s="87">
        <v>450000</v>
      </c>
      <c r="X93" s="87"/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98.10883944860149</v>
      </c>
      <c r="L95" s="73"/>
      <c r="M95" s="42">
        <f t="shared" si="20"/>
        <v>387699.26000000164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/>
      <c r="W95" s="87">
        <f>9377191.27-9000000</f>
        <v>377191.26999999955</v>
      </c>
      <c r="X95" s="87">
        <f>6433600-1000000</f>
        <v>5433600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11.178093333333333</v>
      </c>
      <c r="L97" s="73"/>
      <c r="M97" s="42">
        <f t="shared" si="20"/>
        <v>1332328.6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87">
        <v>500000</v>
      </c>
      <c r="W97" s="87"/>
      <c r="X97" s="87"/>
      <c r="Y97" s="87"/>
      <c r="Z97" s="42">
        <f t="shared" si="12"/>
        <v>1500000</v>
      </c>
      <c r="AA97" s="45">
        <f t="shared" si="7"/>
        <v>-2000000</v>
      </c>
    </row>
    <row r="98" spans="1:27" ht="18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</f>
        <v>470717.95</v>
      </c>
      <c r="I98" s="54"/>
      <c r="J98" s="17">
        <f t="shared" si="16"/>
        <v>1.5442995636626096</v>
      </c>
      <c r="K98" s="48">
        <f t="shared" si="21"/>
        <v>15.74305418989406</v>
      </c>
      <c r="L98" s="73"/>
      <c r="M98" s="42">
        <f t="shared" si="20"/>
        <v>2519286.05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v>1000000</v>
      </c>
      <c r="W98" s="98"/>
      <c r="X98" s="98">
        <v>20000000</v>
      </c>
      <c r="Y98" s="98">
        <f>15478996-5000000</f>
        <v>10478996</v>
      </c>
      <c r="Z98" s="42">
        <f t="shared" si="12"/>
        <v>33469000</v>
      </c>
      <c r="AA98" s="45">
        <f aca="true" t="shared" si="22" ref="AA98:AA121">Z98-D98</f>
        <v>2988000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 t="e">
        <f t="shared" si="21"/>
        <v>#DIV/0!</v>
      </c>
      <c r="M99" s="42">
        <f t="shared" si="20"/>
        <v>0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5">
        <f t="shared" si="22"/>
        <v>-50000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1.9501428571428572</v>
      </c>
      <c r="L100" s="92"/>
      <c r="M100" s="42">
        <f t="shared" si="20"/>
        <v>686349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87">
        <v>400000</v>
      </c>
      <c r="W100" s="87"/>
      <c r="X100" s="87"/>
      <c r="Y100" s="87"/>
      <c r="Z100" s="42">
        <f aca="true" t="shared" si="23" ref="Z100:Z121">SUM(N100:Y100)</f>
        <v>700000</v>
      </c>
      <c r="AA100" s="45">
        <f t="shared" si="22"/>
        <v>-596950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t="shared" si="23"/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251600</v>
      </c>
      <c r="N102" s="87"/>
      <c r="O102" s="87"/>
      <c r="P102" s="87"/>
      <c r="Q102" s="87"/>
      <c r="R102" s="87"/>
      <c r="S102" s="87"/>
      <c r="T102" s="87"/>
      <c r="U102" s="87"/>
      <c r="V102" s="87">
        <v>251600</v>
      </c>
      <c r="W102" s="87">
        <v>248400</v>
      </c>
      <c r="X102" s="87"/>
      <c r="Y102" s="87"/>
      <c r="Z102" s="42">
        <f t="shared" si="23"/>
        <v>500000</v>
      </c>
      <c r="AA102" s="45">
        <f t="shared" si="22"/>
        <v>400000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1719770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87">
        <v>400000</v>
      </c>
      <c r="W104" s="87">
        <v>300000</v>
      </c>
      <c r="X104" s="87">
        <f>1000000-1000000</f>
        <v>0</v>
      </c>
      <c r="Y104" s="87"/>
      <c r="Z104" s="42">
        <f t="shared" si="23"/>
        <v>2019770</v>
      </c>
      <c r="AA104" s="45">
        <f t="shared" si="22"/>
        <v>300000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</f>
        <v>2217023.25</v>
      </c>
      <c r="I105" s="54"/>
      <c r="J105" s="95">
        <f t="shared" si="16"/>
        <v>10.397322940183894</v>
      </c>
      <c r="K105" s="48">
        <f t="shared" si="21"/>
        <v>36.55082605319516</v>
      </c>
      <c r="L105" s="73"/>
      <c r="M105" s="42">
        <f t="shared" si="20"/>
        <v>3848566.75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v>1500000</v>
      </c>
      <c r="W105" s="87">
        <f>1934410+5000000</f>
        <v>6934410</v>
      </c>
      <c r="X105" s="87">
        <v>6200000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4.1714465408805035</v>
      </c>
      <c r="L106" s="73"/>
      <c r="M106" s="42">
        <f t="shared" si="20"/>
        <v>6094696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87">
        <v>3000000</v>
      </c>
      <c r="W106" s="87">
        <v>3000000</v>
      </c>
      <c r="X106" s="87">
        <v>340000</v>
      </c>
      <c r="Y106" s="87">
        <v>300000</v>
      </c>
      <c r="Z106" s="42">
        <f t="shared" si="23"/>
        <v>10000000</v>
      </c>
      <c r="AA106" s="45">
        <f t="shared" si="22"/>
        <v>7734696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97.59166666666667</v>
      </c>
      <c r="L107" s="73"/>
      <c r="M107" s="42">
        <f t="shared" si="20"/>
        <v>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/>
      <c r="W107" s="87"/>
      <c r="X107" s="87">
        <f>950000-60000</f>
        <v>890000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/>
      <c r="I108" s="54"/>
      <c r="J108" s="84">
        <f t="shared" si="16"/>
        <v>0</v>
      </c>
      <c r="K108" s="48">
        <f t="shared" si="21"/>
        <v>0</v>
      </c>
      <c r="L108" s="73"/>
      <c r="M108" s="42">
        <f t="shared" si="20"/>
        <v>21238000.85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87">
        <f>11000000-1200000</f>
        <v>9800000</v>
      </c>
      <c r="W108" s="87">
        <f>7996999.15+500000</f>
        <v>8496999.15</v>
      </c>
      <c r="X108" s="87">
        <f>3005000+60000-400000+1000000</f>
        <v>3665000</v>
      </c>
      <c r="Y108" s="87">
        <f>2000000</f>
        <v>2000000</v>
      </c>
      <c r="Z108" s="42">
        <f t="shared" si="23"/>
        <v>35400000</v>
      </c>
      <c r="AA108" s="45">
        <f t="shared" si="22"/>
        <v>600000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5">
        <f t="shared" si="22"/>
        <v>-200000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5">
        <f t="shared" si="22"/>
        <v>-250000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5">
        <f t="shared" si="22"/>
        <v>-3224105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 t="e">
        <f t="shared" si="21"/>
        <v>#DIV/0!</v>
      </c>
      <c r="M112" s="42">
        <f t="shared" si="20"/>
        <v>0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5">
        <f t="shared" si="22"/>
        <v>-250000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5">
        <f t="shared" si="22"/>
        <v>-200000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0.8574</v>
      </c>
      <c r="L115" s="73"/>
      <c r="M115" s="42">
        <f t="shared" si="20"/>
        <v>1982852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87">
        <v>1000000</v>
      </c>
      <c r="W115" s="87"/>
      <c r="X115" s="87"/>
      <c r="Y115" s="87"/>
      <c r="Z115" s="42">
        <f t="shared" si="23"/>
        <v>2000000</v>
      </c>
      <c r="AA115" s="45">
        <f t="shared" si="22"/>
        <v>1380000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87">
        <f>1000000</f>
        <v>1000000</v>
      </c>
      <c r="W118" s="87"/>
      <c r="X118" s="87"/>
      <c r="Y118" s="87"/>
      <c r="Z118" s="42">
        <f t="shared" si="23"/>
        <v>4000000</v>
      </c>
      <c r="AA118" s="45">
        <f t="shared" si="22"/>
        <v>-5000000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210003199.03000003</v>
      </c>
      <c r="I121" s="8"/>
      <c r="J121" s="8">
        <f>H121/D121*100</f>
        <v>50.39387728536621</v>
      </c>
      <c r="K121" s="99">
        <f t="shared" si="21"/>
        <v>76.19154790813258</v>
      </c>
      <c r="L121" s="73"/>
      <c r="M121" s="47">
        <f t="shared" si="20"/>
        <v>65622122.66999996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34925324.72</v>
      </c>
      <c r="W121" s="47">
        <f t="shared" si="24"/>
        <v>47951157.550000004</v>
      </c>
      <c r="X121" s="47">
        <f t="shared" si="24"/>
        <v>51508694.61</v>
      </c>
      <c r="Y121" s="47">
        <f t="shared" si="24"/>
        <v>29837847.69</v>
      </c>
      <c r="Z121" s="42">
        <f t="shared" si="23"/>
        <v>404923021.55</v>
      </c>
      <c r="AA121" s="45">
        <f t="shared" si="22"/>
        <v>-11800617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2019-09-06T12:45:48Z</dcterms:modified>
  <cp:category/>
  <cp:version/>
  <cp:contentType/>
  <cp:contentStatus/>
</cp:coreProperties>
</file>